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F79B2B1D-A7C1-4AB7-8C02-159907156D9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3" r:id="rId1"/>
  </sheets>
  <definedNames>
    <definedName name="_xlnm._FilterDatabase" localSheetId="0" hidden="1">Лист1!$A$3:$F$70</definedName>
  </definedNames>
  <calcPr calcId="181029"/>
  <fileRecoveryPr autoRecover="0"/>
</workbook>
</file>

<file path=xl/calcChain.xml><?xml version="1.0" encoding="utf-8"?>
<calcChain xmlns="http://schemas.openxmlformats.org/spreadsheetml/2006/main">
  <c r="F70" i="3" l="1"/>
  <c r="F69" i="3"/>
  <c r="F68" i="3"/>
  <c r="F67" i="3"/>
  <c r="F62" i="3"/>
  <c r="F60" i="3"/>
  <c r="F59" i="3"/>
  <c r="F58" i="3"/>
  <c r="F57" i="3"/>
  <c r="F56" i="3"/>
  <c r="F55" i="3"/>
  <c r="F54" i="3"/>
  <c r="F53" i="3"/>
  <c r="F52" i="3"/>
  <c r="F51" i="3"/>
  <c r="F49" i="3"/>
  <c r="F48" i="3"/>
  <c r="F47" i="3"/>
  <c r="F46" i="3"/>
  <c r="F45" i="3"/>
  <c r="F44" i="3"/>
  <c r="F43" i="3"/>
  <c r="F42" i="3"/>
  <c r="F41" i="3"/>
  <c r="F40" i="3"/>
  <c r="F39" i="3"/>
  <c r="F37" i="3"/>
  <c r="F7" i="3"/>
  <c r="F8" i="3"/>
  <c r="F9" i="3"/>
  <c r="F11" i="3"/>
  <c r="F13" i="3"/>
  <c r="F14" i="3"/>
  <c r="F15" i="3"/>
  <c r="F16" i="3"/>
  <c r="F17" i="3"/>
  <c r="F18" i="3"/>
  <c r="F20" i="3"/>
  <c r="F21" i="3"/>
  <c r="F22" i="3"/>
  <c r="F23" i="3"/>
  <c r="F25" i="3"/>
  <c r="F26" i="3"/>
  <c r="F27" i="3"/>
  <c r="F28" i="3"/>
  <c r="F30" i="3"/>
  <c r="F31" i="3"/>
  <c r="F32" i="3"/>
  <c r="F6" i="3"/>
  <c r="E65" i="3"/>
  <c r="E70" i="3"/>
  <c r="E69" i="3"/>
  <c r="E68" i="3"/>
  <c r="E67" i="3"/>
  <c r="E64" i="3"/>
  <c r="E62" i="3"/>
  <c r="E61" i="3" s="1"/>
  <c r="E60" i="3"/>
  <c r="E59" i="3"/>
  <c r="E58" i="3"/>
  <c r="E54" i="3"/>
  <c r="E52" i="3"/>
  <c r="E51" i="3"/>
  <c r="E49" i="3"/>
  <c r="E46" i="3"/>
  <c r="E44" i="3"/>
  <c r="E43" i="3"/>
  <c r="E42" i="3"/>
  <c r="E41" i="3"/>
  <c r="E37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D70" i="3"/>
  <c r="D69" i="3"/>
  <c r="D68" i="3"/>
  <c r="D67" i="3"/>
  <c r="D62" i="3"/>
  <c r="D60" i="3"/>
  <c r="D59" i="3"/>
  <c r="D58" i="3"/>
  <c r="D57" i="3"/>
  <c r="D56" i="3"/>
  <c r="D55" i="3"/>
  <c r="D54" i="3"/>
  <c r="D53" i="3"/>
  <c r="D52" i="3"/>
  <c r="D51" i="3"/>
  <c r="D49" i="3"/>
  <c r="D48" i="3"/>
  <c r="D47" i="3"/>
  <c r="D46" i="3"/>
  <c r="D45" i="3"/>
  <c r="D44" i="3"/>
  <c r="D43" i="3"/>
  <c r="D42" i="3"/>
  <c r="D41" i="3"/>
  <c r="D40" i="3"/>
  <c r="D39" i="3"/>
  <c r="D37" i="3"/>
  <c r="D32" i="3"/>
  <c r="D31" i="3"/>
  <c r="D30" i="3"/>
  <c r="D28" i="3"/>
  <c r="D27" i="3"/>
  <c r="D26" i="3"/>
  <c r="D25" i="3"/>
  <c r="D23" i="3"/>
  <c r="D22" i="3"/>
  <c r="D21" i="3"/>
  <c r="D20" i="3"/>
  <c r="D18" i="3"/>
  <c r="D17" i="3"/>
  <c r="D16" i="3"/>
  <c r="D15" i="3"/>
  <c r="D14" i="3"/>
  <c r="D13" i="3"/>
  <c r="D11" i="3"/>
  <c r="D9" i="3"/>
  <c r="D8" i="3"/>
  <c r="D7" i="3"/>
  <c r="D6" i="3"/>
  <c r="E63" i="3"/>
  <c r="D63" i="3"/>
  <c r="E36" i="3"/>
  <c r="E66" i="3" l="1"/>
  <c r="E50" i="3"/>
  <c r="E38" i="3"/>
  <c r="E5" i="3"/>
  <c r="D66" i="3"/>
  <c r="D36" i="3"/>
  <c r="F66" i="3"/>
  <c r="F36" i="3"/>
  <c r="D38" i="3"/>
  <c r="D50" i="3"/>
  <c r="D61" i="3"/>
  <c r="F61" i="3" s="1"/>
  <c r="D5" i="3"/>
  <c r="F50" i="3" l="1"/>
  <c r="E35" i="3"/>
  <c r="E34" i="3" s="1"/>
  <c r="E4" i="3" s="1"/>
  <c r="D35" i="3"/>
  <c r="F38" i="3"/>
  <c r="F5" i="3"/>
  <c r="D34" i="3" l="1"/>
  <c r="D4" i="3" s="1"/>
  <c r="F35" i="3"/>
  <c r="F34" i="3" l="1"/>
  <c r="F4" i="3"/>
</calcChain>
</file>

<file path=xl/sharedStrings.xml><?xml version="1.0" encoding="utf-8"?>
<sst xmlns="http://schemas.openxmlformats.org/spreadsheetml/2006/main" count="144" uniqueCount="144">
  <si>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</si>
  <si>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</si>
  <si>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</si>
  <si>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</si>
  <si>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</si>
  <si>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</si>
  <si>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</si>
  <si>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Наименование показателя</t>
  </si>
  <si>
    <t>Код строки</t>
  </si>
  <si>
    <t>Код дохода по бюджетной классификации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</si>
  <si>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</si>
  <si>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</si>
  <si>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</si>
  <si>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</si>
  <si>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 на доходы физических лиц</t>
  </si>
  <si>
    <t>000 1 01 02000 01 0000 110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</si>
  <si>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</si>
  <si>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</si>
  <si>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Налог, взимаемый с налогоплательщиков, выбравших в качестве объекта налогообложения  доходы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</si>
  <si>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</si>
  <si>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</si>
  <si>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</si>
  <si>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</si>
  <si>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</si>
  <si>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Единый налог на вмененный доход для отдельных видов деятельности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</si>
  <si>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</si>
  <si>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</si>
  <si>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</si>
  <si>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</si>
  <si>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</si>
  <si>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</si>
  <si>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</si>
  <si>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 на имущество физических лиц</t>
  </si>
  <si>
    <t>000 1 06 01000 00 0000 110</t>
  </si>
  <si>
    <t xml:space="preserve">Земельный налог с организаций </t>
  </si>
  <si>
    <t>000 1 06 06030 00 0000 110</t>
  </si>
  <si>
    <t>Земельный налог с физических лиц</t>
  </si>
  <si>
    <t>000 1 06 06040 00 0000 110</t>
  </si>
  <si>
    <t>000 1 08 00000 00 0000 000</t>
  </si>
  <si>
    <t>000 1 09 00000 00 0000 000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</si>
  <si>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</si>
  <si>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</si>
  <si>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000 1 11 05020 00 0000 120</t>
  </si>
  <si>
    <t>000 1 11 05030 00 0000 120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</si>
  <si>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</si>
  <si>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</si>
  <si>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</si>
  <si>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</si>
  <si>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000 1 11 09040 00 0000 120</t>
  </si>
  <si>
    <t>000 1 12 00000 00 0000 000</t>
  </si>
  <si>
    <t>Прочие доходы от компенсации затрат бюджетов муниципальных округов</t>
  </si>
  <si>
    <t>000 1 13 02994 14 0000 130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</si>
  <si>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</si>
  <si>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000 1 14 06012 14 0000 430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</si>
  <si>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</si>
  <si>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000 1 14 06024 14 0000 430</t>
  </si>
  <si>
    <t>000 1 14 06312 14 0000 430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</si>
  <si>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</si>
  <si>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000 1 14 13040 14 0000 410</t>
  </si>
  <si>
    <t>000 1 16 00000 00 0000 000</t>
  </si>
  <si>
    <t>000 1 17 00000 00 0000 000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</si>
  <si>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</si>
  <si>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</si>
  <si>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</si>
  <si>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</si>
  <si>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</si>
  <si>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</si>
  <si>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</si>
  <si>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</si>
  <si>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</si>
  <si>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</si>
  <si>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</si>
  <si>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000 2 02 20077 14 0000 150</t>
  </si>
  <si>
    <t>000 2 02 20216 14 0000 150</t>
  </si>
  <si>
    <t>000 2 02 20299 14 0000 150</t>
  </si>
  <si>
    <t>000 2 02 20302 14 0000 150</t>
  </si>
  <si>
    <t>Субсидии бюджетам муниципальных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</si>
  <si>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</si>
  <si>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</si>
  <si>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</si>
  <si>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</si>
  <si>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000 2 02 25467 14 0000 150</t>
  </si>
  <si>
    <t>Субсидии бюджетам муниципальных округов на реализацию мероприятий по обеспечению жильем молодых семей</t>
  </si>
  <si>
    <t>000 2 02 25497 14 0000 150</t>
  </si>
  <si>
    <t>Субсидии бюджетам муниципальных округов на поддержку отрасли культуры</t>
  </si>
  <si>
    <t>000 2 02 25519 14 0000 150</t>
  </si>
  <si>
    <t>Субсидии бюджетам муниципальных округов на реализацию программ формирования современной городской среды</t>
  </si>
  <si>
    <t>000 2 02 25555 14 0000 150</t>
  </si>
  <si>
    <t>Прочие субсидии бюджетам муниципальных округов</t>
  </si>
  <si>
    <t>000 2 02 29999 14 0000 150</t>
  </si>
  <si>
    <t>Субвенции бюджетам бюджетной системы Российской Федерации</t>
  </si>
  <si>
    <t>000 2 02 30000 00 0000 150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</si>
  <si>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</si>
  <si>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</si>
  <si>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</si>
  <si>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</si>
  <si>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</si>
  <si>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</si>
  <si>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</si>
  <si>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000 2 02 35118 14 0000 150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</si>
  <si>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</si>
  <si>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</si>
  <si>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12 января 1995 года № 5-ФЗ                    "О ветеранах"</t>
  </si>
  <si>
    <t>000 2 02 35135 14 0000 150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</si>
  <si>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№ 181-ФЗ "О социальной защите инвалидов в Российской Федерации"</t>
  </si>
  <si>
    <t>000 2 02 35176 14 0000 150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</si>
  <si>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</si>
  <si>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000 2 02 35303 14 0000 150</t>
  </si>
  <si>
    <t>Субвенции бюджетам муниципальных округов на стимулирование развития приоритетных подотраслей агропромышленного комплекса и развитие малых форм хозяйствования</t>
  </si>
  <si>
    <t>000 2 02 35502 14 0000 150</t>
  </si>
  <si>
    <t>Субвенции бюджетам муниципальных округов на поддержку сельскохозяйственного производства по отдельным подотраслям растениеводства и животноводства</t>
  </si>
  <si>
    <t>000 2 02 35508 14 0000 150</t>
  </si>
  <si>
    <t>000 2 02 40000 00 0000 150</t>
  </si>
  <si>
    <t>Межбюджетные трансферты, передаваемые бюджетам муниципальных округов для компенсации дополнительных расходов, возникших в результате решений, принятых органами власти другого уровня</t>
  </si>
  <si>
    <t>000 2 02 45160 14 0000 150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</si>
  <si>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</si>
  <si>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</si>
  <si>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округов</t>
  </si>
  <si>
    <t>000 2 07 04050 14 0000 150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</si>
  <si>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</si>
  <si>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</si>
  <si>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 на мероприятия государственной программы Российской Федерации "Доступная среда" из бюджетов муниципальных округов</t>
  </si>
  <si>
    <t>000 2 19 25027 14 0000 150</t>
  </si>
  <si>
    <t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муниципальных округов</t>
  </si>
  <si>
    <t>000 2 19 25520 14 0000 150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</si>
  <si>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округов</t>
  </si>
  <si>
    <t>000 2 19 45160 14 0000 150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</si>
  <si>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</si>
  <si>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000 2 19 60010 14 0000 150</t>
  </si>
  <si>
    <t>План по бюджету на 2021 год</t>
  </si>
  <si>
    <t>тыс.руб.</t>
  </si>
  <si>
    <t xml:space="preserve">Государственная пошлина </t>
  </si>
  <si>
    <t>Задолженность и перерасчеты по отмененным налогам, сборам и иным обязательным платежам</t>
  </si>
  <si>
    <t>Штрафы, санкции, возмещение ущерба</t>
  </si>
  <si>
    <t>Прочие неналоговые доходы</t>
  </si>
  <si>
    <t>Платежи при пользовании природными ресурсами</t>
  </si>
  <si>
    <t>ИНЫЕ МЕЖБЮДЖЕТНЫЕ ТРАНСФЕРТЫ</t>
  </si>
  <si>
    <t>Начальник финансового управления</t>
  </si>
  <si>
    <t>Виноградова А. М.</t>
  </si>
  <si>
    <t>Исполнение бюджета Балахнинского муниципального округа по доходам на 01.05.2021 г.</t>
  </si>
  <si>
    <t>Факт исполнения на 01.05.2021 г.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</si>
  <si>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</si>
  <si>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</si>
  <si>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% 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</si>
</sst>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.0"/>
  </numFmts>
  <fonts count="6" x14ac:knownFonts="1">
    <font>
      <sz val="10"/>
      <name val="Arial"/>
    </font>
    <font>
      <sz val="14"/>
      <color indexed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Fill="1" applyBorder="1" applyAlignment="1" applyProtection="1">
      <alignment horizontal="left" wrapText="1" readingOrder="1"/>
      <protection locked="0"/>
    </xf>
    <xf numFmtId="0" fontId="3" fillId="0" borderId="1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/>
    <xf numFmtId="0" fontId="1" fillId="0" borderId="2" xfId="0" applyFont="1" applyFill="1" applyBorder="1" applyAlignment="1" applyProtection="1">
      <alignment horizontal="center" vertical="center" wrapText="1" readingOrder="1"/>
      <protection locked="0"/>
    </xf>
    <xf numFmtId="0" fontId="2" fillId="0" borderId="3" xfId="0" applyFont="1" applyFill="1" applyBorder="1" applyAlignment="1" applyProtection="1">
      <alignment horizontal="center" vertical="top" wrapText="1"/>
      <protection locked="0"/>
    </xf>
    <xf numFmtId="0" fontId="2" fillId="0" borderId="4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 applyProtection="1">
      <alignment horizontal="left" wrapText="1" readingOrder="1"/>
      <protection locked="0"/>
    </xf>
    <xf numFmtId="0" fontId="1" fillId="0" borderId="1" xfId="0" applyFont="1" applyFill="1" applyBorder="1" applyAlignment="1" applyProtection="1">
      <alignment horizontal="center" wrapText="1" readingOrder="1"/>
      <protection locked="0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/>
    <xf numFmtId="164" fontId="4" fillId="0" borderId="1" xfId="0" applyNumberFormat="1" applyFont="1" applyFill="1" applyBorder="1" applyAlignment="1" applyProtection="1">
      <alignment horizontal="center" wrapText="1" readingOrder="1"/>
      <protection locked="0"/>
    </xf>
    <xf numFmtId="164" fontId="2" fillId="0" borderId="1" xfId="0" applyNumberFormat="1" applyFont="1" applyFill="1" applyBorder="1" applyAlignment="1" applyProtection="1">
      <alignment horizontal="center" wrapText="1" readingOrder="1"/>
      <protection locked="0"/>
    </xf>
    <xf numFmtId="164" fontId="1" fillId="0" borderId="1" xfId="0" applyNumberFormat="1" applyFont="1" applyFill="1" applyBorder="1" applyAlignment="1" applyProtection="1">
      <alignment horizontal="center" wrapText="1" readingOrder="1"/>
      <protection locked="0"/>
    </xf>
    <xf numFmtId="0" fontId="5" fillId="0" borderId="0" xfId="0" applyFont="1" applyFill="1" applyAlignment="1" applyProtection="1">
      <alignment horizontal="center" wrapText="1" readingOrder="1"/>
      <protection locked="0"/>
    </xf>
    <xf numFmtId="0" fontId="3" fillId="0" borderId="0" xfId="0" applyFont="1" applyFill="1" applyAlignment="1" applyProtection="1">
      <alignment horizontal="center" vertical="center" wrapText="1" readingOrder="1"/>
      <protection locked="0"/>
    </xf>
    <xf numFmtId="0" fontId="2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EBCD"/>
      <rgbColor rgb="00FFFFFF"/>
      <rgbColor rgb="008B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6AE3D-87E8-429B-863F-2B389FA1214A}">
  <dimension ref="A1:F74"/>
  <sheetViews>
    <sheetView tabSelected="1" zoomScale="60" zoomScaleNormal="60" workbookViewId="0">
      <selection activeCell="E4" sqref="E4"/>
    </sheetView>
  </sheetViews>
  <sheetFormatPr defaultRowHeight="18.75" x14ac:dyDescent="0.3"/>
  <cols>
    <col min="1" max="1" width="126" style="11" customWidth="1"/>
    <col min="2" max="2" width="7.28515625" style="11" customWidth="1"/>
    <col min="3" max="3" width="41" style="11" customWidth="1"/>
    <col min="4" max="4" width="29.85546875" style="9" customWidth="1"/>
    <col min="5" max="5" width="26.42578125" style="9" customWidth="1"/>
    <col min="6" max="6" width="25.7109375" style="9" customWidth="1"/>
    <col min="7" max="16384" width="9.140625" style="11"/>
  </cols>
  <sheetData>
    <row r="1" spans="1:6" ht="42" customHeight="1" x14ac:dyDescent="0.3">
      <c r="A1" s="15" t="s">
        <v>139</v>
      </c>
      <c r="B1" s="15"/>
      <c r="C1" s="15"/>
      <c r="D1" s="15"/>
      <c r="E1" s="15"/>
      <c r="F1" s="15"/>
    </row>
    <row r="2" spans="1:6" ht="42" customHeight="1" x14ac:dyDescent="0.3">
      <c r="A2" s="16"/>
      <c r="B2" s="17"/>
      <c r="C2" s="17"/>
      <c r="D2" s="17"/>
      <c r="F2" s="10" t="s">
        <v>130</v>
      </c>
    </row>
    <row r="3" spans="1:6" ht="56.25" customHeight="1" x14ac:dyDescent="0.3">
      <c r="A3" s="4" t="s">
        <v>7</v>
      </c>
      <c r="B3" s="4" t="s">
        <v>8</v>
      </c>
      <c r="C3" s="4" t="s">
        <v>9</v>
      </c>
      <c r="D3" s="5" t="s">
        <v>129</v>
      </c>
      <c r="E3" s="6" t="s">
        <v>140</v>
      </c>
      <c r="F3" s="6" t="s">
        <v>143</v>
      </c>
    </row>
    <row r="4" spans="1:6" s="3" customFormat="1" ht="29.25" customHeight="1" x14ac:dyDescent="0.3">
      <c r="A4" s="1" t="s">
        <v>10</v>
      </c>
      <c r="B4" s="2">
        <v>10</v>
      </c>
      <c r="C4" s="2" t="s">
        <v>11</v>
      </c>
      <c r="D4" s="12">
        <f>D5+D34</f>
        <v>2233317.06299</v>
      </c>
      <c r="E4" s="12">
        <f>E5+E34</f>
        <v>699041.24456000002</v>
      </c>
      <c r="F4" s="12">
        <f>E4/D4%</f>
        <v>31.300582265919402</v>
      </c>
    </row>
    <row r="5" spans="1:6" s="3" customFormat="1" ht="46.5" customHeight="1" x14ac:dyDescent="0.3">
      <c r="A5" s="1" t="s">
        <v>12</v>
      </c>
      <c r="B5" s="2">
        <v>10</v>
      </c>
      <c r="C5" s="2" t="s">
        <v>13</v>
      </c>
      <c r="D5" s="12">
        <f>SUM(D6:D33)</f>
        <v>857761.64153999987</v>
      </c>
      <c r="E5" s="12">
        <f>SUM(E6:E33)</f>
        <v>243655.80047999992</v>
      </c>
      <c r="F5" s="12">
        <f t="shared" ref="F5:F69" si="0">E5/D5%</f>
        <v>28.406003332411498</v>
      </c>
    </row>
    <row r="6" spans="1:6" ht="36.75" customHeight="1" x14ac:dyDescent="0.3">
      <c r="A6" s="7" t="s">
        <v>14</v>
      </c>
      <c r="B6" s="8">
        <v>10</v>
      </c>
      <c r="C6" s="8" t="s">
        <v>15</v>
      </c>
      <c r="D6" s="14">
        <f>547034000/1000</f>
        <v>547034</v>
      </c>
      <c r="E6" s="13">
        <f>159324407.64/1000</f>
        <v>159324.40763999999</v>
      </c>
      <c r="F6" s="13">
        <f>E6/D6%</f>
        <v>29.125138042607951</v>
      </c>
    </row>
    <row r="7" spans="1:6" ht="36.75" customHeight="1" x14ac:dyDescent="0.3">
      <c r="A7" s="7" t="s">
        <v>16</v>
      </c>
      <c r="B7" s="8">
        <v>10</v>
      </c>
      <c r="C7" s="8" t="s">
        <v>17</v>
      </c>
      <c r="D7" s="14">
        <f>18247600/1000</f>
        <v>18247.599999999999</v>
      </c>
      <c r="E7" s="13">
        <f>5954238.36/1000</f>
        <v>5954.2383600000003</v>
      </c>
      <c r="F7" s="13">
        <f t="shared" ref="F7:F32" si="1">E7/D7%</f>
        <v>32.630254718428723</v>
      </c>
    </row>
    <row r="8" spans="1:6" ht="36.75" customHeight="1" x14ac:dyDescent="0.3">
      <c r="A8" s="7" t="s">
        <v>18</v>
      </c>
      <c r="B8" s="8">
        <v>10</v>
      </c>
      <c r="C8" s="8" t="s">
        <v>19</v>
      </c>
      <c r="D8" s="14">
        <f>23207400/1000</f>
        <v>23207.4</v>
      </c>
      <c r="E8" s="13">
        <f>9140456.34/1000</f>
        <v>9140.4563400000006</v>
      </c>
      <c r="F8" s="13">
        <f t="shared" si="1"/>
        <v>39.385955945086479</v>
      </c>
    </row>
    <row r="9" spans="1:6" ht="57" customHeight="1" x14ac:dyDescent="0.3">
      <c r="A9" s="7" t="s">
        <v>20</v>
      </c>
      <c r="B9" s="8">
        <v>10</v>
      </c>
      <c r="C9" s="8" t="s">
        <v>21</v>
      </c>
      <c r="D9" s="13">
        <f>3684100/1000</f>
        <v>3684.1</v>
      </c>
      <c r="E9" s="13">
        <f>3864203.98/1000</f>
        <v>3864.2039799999998</v>
      </c>
      <c r="F9" s="13">
        <f t="shared" si="1"/>
        <v>104.8886832604978</v>
      </c>
    </row>
    <row r="10" spans="1:6" ht="42.75" customHeight="1" x14ac:dyDescent="0.3">
      <c r="A10" s="7" t="s">
        <v>22</v>
      </c>
      <c r="B10" s="8">
        <v>10</v>
      </c>
      <c r="C10" s="8" t="s">
        <v>23</v>
      </c>
      <c r="D10" s="13">
        <v>0</v>
      </c>
      <c r="E10" s="13">
        <f>-213.6/1000</f>
        <v>-0.21359999999999998</v>
      </c>
      <c r="F10" s="13">
        <v>0</v>
      </c>
    </row>
    <row r="11" spans="1:6" ht="29.25" customHeight="1" x14ac:dyDescent="0.3">
      <c r="A11" s="7" t="s">
        <v>24</v>
      </c>
      <c r="B11" s="8">
        <v>10</v>
      </c>
      <c r="C11" s="8" t="s">
        <v>25</v>
      </c>
      <c r="D11" s="13">
        <f>4490800/1000</f>
        <v>4490.8</v>
      </c>
      <c r="E11" s="13">
        <f>5323862.06/1000</f>
        <v>5323.8620599999995</v>
      </c>
      <c r="F11" s="13">
        <f t="shared" si="1"/>
        <v>118.55041551616637</v>
      </c>
    </row>
    <row r="12" spans="1:6" ht="44.25" customHeight="1" x14ac:dyDescent="0.3">
      <c r="A12" s="7" t="s">
        <v>26</v>
      </c>
      <c r="B12" s="8">
        <v>10</v>
      </c>
      <c r="C12" s="8" t="s">
        <v>27</v>
      </c>
      <c r="D12" s="13">
        <v>0</v>
      </c>
      <c r="E12" s="13">
        <f>976.58/1000</f>
        <v>0.97658</v>
      </c>
      <c r="F12" s="13">
        <v>0</v>
      </c>
    </row>
    <row r="13" spans="1:6" ht="30" customHeight="1" x14ac:dyDescent="0.3">
      <c r="A13" s="7" t="s">
        <v>28</v>
      </c>
      <c r="B13" s="8">
        <v>10</v>
      </c>
      <c r="C13" s="8" t="s">
        <v>29</v>
      </c>
      <c r="D13" s="13">
        <f>8300/1000</f>
        <v>8.3000000000000007</v>
      </c>
      <c r="E13" s="13">
        <f>4476/1000</f>
        <v>4.476</v>
      </c>
      <c r="F13" s="13">
        <f t="shared" si="1"/>
        <v>53.92771084337349</v>
      </c>
    </row>
    <row r="14" spans="1:6" ht="30" customHeight="1" x14ac:dyDescent="0.3">
      <c r="A14" s="7" t="s">
        <v>30</v>
      </c>
      <c r="B14" s="8">
        <v>10</v>
      </c>
      <c r="C14" s="8" t="s">
        <v>31</v>
      </c>
      <c r="D14" s="13">
        <f>7059100/1000</f>
        <v>7059.1</v>
      </c>
      <c r="E14" s="13">
        <f>3618016.8/1000</f>
        <v>3618.0167999999999</v>
      </c>
      <c r="F14" s="13">
        <f t="shared" si="1"/>
        <v>51.253230581802207</v>
      </c>
    </row>
    <row r="15" spans="1:6" ht="30" customHeight="1" x14ac:dyDescent="0.3">
      <c r="A15" s="7" t="s">
        <v>32</v>
      </c>
      <c r="B15" s="8">
        <v>10</v>
      </c>
      <c r="C15" s="8" t="s">
        <v>33</v>
      </c>
      <c r="D15" s="13">
        <f>40556700/1000</f>
        <v>40556.699999999997</v>
      </c>
      <c r="E15" s="13">
        <f>3052513.34/1000</f>
        <v>3052.51334</v>
      </c>
      <c r="F15" s="13">
        <f t="shared" si="1"/>
        <v>7.5265328293475564</v>
      </c>
    </row>
    <row r="16" spans="1:6" ht="30" customHeight="1" x14ac:dyDescent="0.3">
      <c r="A16" s="7" t="s">
        <v>34</v>
      </c>
      <c r="B16" s="8">
        <v>10</v>
      </c>
      <c r="C16" s="8" t="s">
        <v>35</v>
      </c>
      <c r="D16" s="13">
        <f>53501400/1000</f>
        <v>53501.4</v>
      </c>
      <c r="E16" s="13">
        <f>21232305.14/1000</f>
        <v>21232.30514</v>
      </c>
      <c r="F16" s="13">
        <f t="shared" si="1"/>
        <v>39.685513164141497</v>
      </c>
    </row>
    <row r="17" spans="1:6" ht="30" customHeight="1" x14ac:dyDescent="0.3">
      <c r="A17" s="7" t="s">
        <v>36</v>
      </c>
      <c r="B17" s="8">
        <v>10</v>
      </c>
      <c r="C17" s="8" t="s">
        <v>37</v>
      </c>
      <c r="D17" s="13">
        <f>21657000/1000</f>
        <v>21657</v>
      </c>
      <c r="E17" s="13">
        <f>1192720.75/1000</f>
        <v>1192.72075</v>
      </c>
      <c r="F17" s="13">
        <f t="shared" si="1"/>
        <v>5.5073221129426972</v>
      </c>
    </row>
    <row r="18" spans="1:6" ht="30" customHeight="1" x14ac:dyDescent="0.3">
      <c r="A18" s="7" t="s">
        <v>131</v>
      </c>
      <c r="B18" s="8">
        <v>10</v>
      </c>
      <c r="C18" s="8" t="s">
        <v>38</v>
      </c>
      <c r="D18" s="13">
        <f>10444600/1000</f>
        <v>10444.6</v>
      </c>
      <c r="E18" s="13">
        <f>3639927.24/1000</f>
        <v>3639.9272400000004</v>
      </c>
      <c r="F18" s="13">
        <f t="shared" si="1"/>
        <v>34.849848151197754</v>
      </c>
    </row>
    <row r="19" spans="1:6" ht="45" customHeight="1" x14ac:dyDescent="0.3">
      <c r="A19" s="7" t="s">
        <v>132</v>
      </c>
      <c r="B19" s="8">
        <v>10</v>
      </c>
      <c r="C19" s="8" t="s">
        <v>39</v>
      </c>
      <c r="D19" s="13">
        <v>0</v>
      </c>
      <c r="E19" s="13">
        <f>45.31/1000</f>
        <v>4.5310000000000003E-2</v>
      </c>
      <c r="F19" s="13">
        <v>0</v>
      </c>
    </row>
    <row r="20" spans="1:6" ht="67.5" customHeight="1" x14ac:dyDescent="0.3">
      <c r="A20" s="7" t="s">
        <v>40</v>
      </c>
      <c r="B20" s="8">
        <v>10</v>
      </c>
      <c r="C20" s="8" t="s">
        <v>41</v>
      </c>
      <c r="D20" s="13">
        <f>62652700/1000</f>
        <v>62652.7</v>
      </c>
      <c r="E20" s="13">
        <f>9460514.94/1000</f>
        <v>9460.5149399999991</v>
      </c>
      <c r="F20" s="13">
        <f t="shared" si="1"/>
        <v>15.099931750746576</v>
      </c>
    </row>
    <row r="21" spans="1:6" ht="72" customHeight="1" x14ac:dyDescent="0.3">
      <c r="A21" s="7" t="s">
        <v>0</v>
      </c>
      <c r="B21" s="8">
        <v>10</v>
      </c>
      <c r="C21" s="8" t="s">
        <v>42</v>
      </c>
      <c r="D21" s="13">
        <f>612100/1000</f>
        <v>612.1</v>
      </c>
      <c r="E21" s="13">
        <f>18052.83/1000</f>
        <v>18.05283</v>
      </c>
      <c r="F21" s="13">
        <f t="shared" si="1"/>
        <v>2.9493269073680768</v>
      </c>
    </row>
    <row r="22" spans="1:6" ht="75" customHeight="1" x14ac:dyDescent="0.3">
      <c r="A22" s="7" t="s">
        <v>1</v>
      </c>
      <c r="B22" s="8">
        <v>10</v>
      </c>
      <c r="C22" s="8" t="s">
        <v>43</v>
      </c>
      <c r="D22" s="13">
        <f>1800000/1000</f>
        <v>1800</v>
      </c>
      <c r="E22" s="13">
        <f>480629.33/1000</f>
        <v>480.62933000000004</v>
      </c>
      <c r="F22" s="13">
        <f t="shared" si="1"/>
        <v>26.701629444444446</v>
      </c>
    </row>
    <row r="23" spans="1:6" ht="51" customHeight="1" x14ac:dyDescent="0.3">
      <c r="A23" s="7" t="s">
        <v>44</v>
      </c>
      <c r="B23" s="8">
        <v>10</v>
      </c>
      <c r="C23" s="8" t="s">
        <v>45</v>
      </c>
      <c r="D23" s="13">
        <f>7748600/1000</f>
        <v>7748.6</v>
      </c>
      <c r="E23" s="13">
        <f>670865.47/1000</f>
        <v>670.86546999999996</v>
      </c>
      <c r="F23" s="13">
        <f t="shared" si="1"/>
        <v>8.6578926515757679</v>
      </c>
    </row>
    <row r="24" spans="1:6" ht="51" customHeight="1" x14ac:dyDescent="0.3">
      <c r="A24" s="7" t="s">
        <v>46</v>
      </c>
      <c r="B24" s="8">
        <v>10</v>
      </c>
      <c r="C24" s="8" t="s">
        <v>47</v>
      </c>
      <c r="D24" s="13">
        <v>0</v>
      </c>
      <c r="E24" s="13">
        <f>442.2/1000</f>
        <v>0.44219999999999998</v>
      </c>
      <c r="F24" s="13">
        <v>0</v>
      </c>
    </row>
    <row r="25" spans="1:6" ht="72" customHeight="1" x14ac:dyDescent="0.3">
      <c r="A25" s="7" t="s">
        <v>2</v>
      </c>
      <c r="B25" s="8">
        <v>10</v>
      </c>
      <c r="C25" s="8" t="s">
        <v>48</v>
      </c>
      <c r="D25" s="13">
        <f>3706500/1000</f>
        <v>3706.5</v>
      </c>
      <c r="E25" s="13">
        <f>811415.88/1000</f>
        <v>811.41588000000002</v>
      </c>
      <c r="F25" s="13">
        <f t="shared" si="1"/>
        <v>21.891700526102795</v>
      </c>
    </row>
    <row r="26" spans="1:6" ht="39" customHeight="1" x14ac:dyDescent="0.3">
      <c r="A26" s="7" t="s">
        <v>135</v>
      </c>
      <c r="B26" s="8">
        <v>10</v>
      </c>
      <c r="C26" s="8" t="s">
        <v>49</v>
      </c>
      <c r="D26" s="13">
        <f>27243100/1000</f>
        <v>27243.1</v>
      </c>
      <c r="E26" s="13">
        <f>10396353.01/1000</f>
        <v>10396.353009999999</v>
      </c>
      <c r="F26" s="13">
        <f t="shared" si="1"/>
        <v>38.1614170560619</v>
      </c>
    </row>
    <row r="27" spans="1:6" ht="39" customHeight="1" x14ac:dyDescent="0.3">
      <c r="A27" s="7" t="s">
        <v>50</v>
      </c>
      <c r="B27" s="8">
        <v>10</v>
      </c>
      <c r="C27" s="8" t="s">
        <v>51</v>
      </c>
      <c r="D27" s="13">
        <f>4707641.54/1000</f>
        <v>4707.6415399999996</v>
      </c>
      <c r="E27" s="13">
        <f>1014169.22/1000</f>
        <v>1014.16922</v>
      </c>
      <c r="F27" s="13">
        <f t="shared" si="1"/>
        <v>21.54304254864741</v>
      </c>
    </row>
    <row r="28" spans="1:6" ht="39" customHeight="1" x14ac:dyDescent="0.3">
      <c r="A28" s="7" t="s">
        <v>52</v>
      </c>
      <c r="B28" s="8">
        <v>10</v>
      </c>
      <c r="C28" s="8" t="s">
        <v>53</v>
      </c>
      <c r="D28" s="13">
        <f>11100000/1000</f>
        <v>11100</v>
      </c>
      <c r="E28" s="13">
        <f>2458544.13/1000</f>
        <v>2458.5441299999998</v>
      </c>
      <c r="F28" s="13">
        <f t="shared" si="1"/>
        <v>22.149046216216213</v>
      </c>
    </row>
    <row r="29" spans="1:6" ht="52.5" customHeight="1" x14ac:dyDescent="0.3">
      <c r="A29" s="7" t="s">
        <v>54</v>
      </c>
      <c r="B29" s="8">
        <v>10</v>
      </c>
      <c r="C29" s="8" t="s">
        <v>55</v>
      </c>
      <c r="D29" s="13">
        <v>0</v>
      </c>
      <c r="E29" s="13">
        <f>48722.47/1000</f>
        <v>48.722470000000001</v>
      </c>
      <c r="F29" s="13">
        <v>0</v>
      </c>
    </row>
    <row r="30" spans="1:6" ht="76.5" customHeight="1" x14ac:dyDescent="0.3">
      <c r="A30" s="7" t="s">
        <v>3</v>
      </c>
      <c r="B30" s="8">
        <v>10</v>
      </c>
      <c r="C30" s="8" t="s">
        <v>56</v>
      </c>
      <c r="D30" s="13">
        <f>1704300/1000</f>
        <v>1704.3</v>
      </c>
      <c r="E30" s="13">
        <f>506064.51/1000</f>
        <v>506.06450999999998</v>
      </c>
      <c r="F30" s="13">
        <f t="shared" si="1"/>
        <v>29.693393768702695</v>
      </c>
    </row>
    <row r="31" spans="1:6" ht="54" customHeight="1" x14ac:dyDescent="0.3">
      <c r="A31" s="7" t="s">
        <v>57</v>
      </c>
      <c r="B31" s="8">
        <v>10</v>
      </c>
      <c r="C31" s="8" t="s">
        <v>58</v>
      </c>
      <c r="D31" s="13">
        <f>1500000/1000</f>
        <v>1500</v>
      </c>
      <c r="E31" s="13">
        <f>42698.6/1000</f>
        <v>42.698599999999999</v>
      </c>
      <c r="F31" s="13">
        <f t="shared" si="1"/>
        <v>2.8465733333333332</v>
      </c>
    </row>
    <row r="32" spans="1:6" ht="33" customHeight="1" x14ac:dyDescent="0.3">
      <c r="A32" s="7" t="s">
        <v>133</v>
      </c>
      <c r="B32" s="8">
        <v>10</v>
      </c>
      <c r="C32" s="8" t="s">
        <v>59</v>
      </c>
      <c r="D32" s="13">
        <f>5095700/1000</f>
        <v>5095.7</v>
      </c>
      <c r="E32" s="13">
        <f>1329314.2/1000</f>
        <v>1329.3142</v>
      </c>
      <c r="F32" s="13">
        <f t="shared" si="1"/>
        <v>26.086979217771848</v>
      </c>
    </row>
    <row r="33" spans="1:6" ht="33" customHeight="1" x14ac:dyDescent="0.3">
      <c r="A33" s="7" t="s">
        <v>134</v>
      </c>
      <c r="B33" s="8">
        <v>10</v>
      </c>
      <c r="C33" s="8" t="s">
        <v>60</v>
      </c>
      <c r="D33" s="13">
        <v>0</v>
      </c>
      <c r="E33" s="13">
        <f>70077.75/1000</f>
        <v>70.077749999999995</v>
      </c>
      <c r="F33" s="13">
        <v>0</v>
      </c>
    </row>
    <row r="34" spans="1:6" s="3" customFormat="1" ht="40.5" customHeight="1" x14ac:dyDescent="0.3">
      <c r="A34" s="1" t="s">
        <v>61</v>
      </c>
      <c r="B34" s="2">
        <v>10</v>
      </c>
      <c r="C34" s="2" t="s">
        <v>62</v>
      </c>
      <c r="D34" s="12">
        <f>D35+D63+D66+D65</f>
        <v>1375555.42145</v>
      </c>
      <c r="E34" s="12">
        <f>E35+E63+E66+E65</f>
        <v>455385.44408000004</v>
      </c>
      <c r="F34" s="12">
        <f t="shared" si="0"/>
        <v>33.10556862914104</v>
      </c>
    </row>
    <row r="35" spans="1:6" s="3" customFormat="1" ht="48" customHeight="1" x14ac:dyDescent="0.3">
      <c r="A35" s="1" t="s">
        <v>63</v>
      </c>
      <c r="B35" s="2">
        <v>10</v>
      </c>
      <c r="C35" s="2" t="s">
        <v>64</v>
      </c>
      <c r="D35" s="12">
        <f>D36+D38+D50+D61</f>
        <v>1381116.89937</v>
      </c>
      <c r="E35" s="12">
        <f>E36+E38+E50+E61</f>
        <v>456167.35837000003</v>
      </c>
      <c r="F35" s="12">
        <f t="shared" si="0"/>
        <v>33.028873846817888</v>
      </c>
    </row>
    <row r="36" spans="1:6" s="3" customFormat="1" ht="37.5" customHeight="1" x14ac:dyDescent="0.3">
      <c r="A36" s="1" t="s">
        <v>65</v>
      </c>
      <c r="B36" s="2">
        <v>10</v>
      </c>
      <c r="C36" s="2" t="s">
        <v>66</v>
      </c>
      <c r="D36" s="12">
        <f>D37</f>
        <v>226425.60000000001</v>
      </c>
      <c r="E36" s="12">
        <f>E37</f>
        <v>89626.880000000005</v>
      </c>
      <c r="F36" s="12">
        <f t="shared" si="0"/>
        <v>39.58336866502728</v>
      </c>
    </row>
    <row r="37" spans="1:6" ht="37.5" customHeight="1" x14ac:dyDescent="0.3">
      <c r="A37" s="7" t="s">
        <v>67</v>
      </c>
      <c r="B37" s="8">
        <v>10</v>
      </c>
      <c r="C37" s="8" t="s">
        <v>68</v>
      </c>
      <c r="D37" s="13">
        <f>226425600/1000</f>
        <v>226425.60000000001</v>
      </c>
      <c r="E37" s="13">
        <f>89626880/1000</f>
        <v>89626.880000000005</v>
      </c>
      <c r="F37" s="13">
        <f t="shared" si="0"/>
        <v>39.58336866502728</v>
      </c>
    </row>
    <row r="38" spans="1:6" s="3" customFormat="1" ht="39" customHeight="1" x14ac:dyDescent="0.3">
      <c r="A38" s="1" t="s">
        <v>69</v>
      </c>
      <c r="B38" s="2">
        <v>10</v>
      </c>
      <c r="C38" s="2" t="s">
        <v>70</v>
      </c>
      <c r="D38" s="12">
        <f>SUM(D39:D49)</f>
        <v>365163.3002</v>
      </c>
      <c r="E38" s="12">
        <f>SUM(E39:E49)</f>
        <v>58821.901110000006</v>
      </c>
      <c r="F38" s="12">
        <f t="shared" si="0"/>
        <v>16.108382490185416</v>
      </c>
    </row>
    <row r="39" spans="1:6" ht="49.5" customHeight="1" x14ac:dyDescent="0.3">
      <c r="A39" s="7" t="s">
        <v>71</v>
      </c>
      <c r="B39" s="8">
        <v>10</v>
      </c>
      <c r="C39" s="8" t="s">
        <v>72</v>
      </c>
      <c r="D39" s="13">
        <f>141023629.98/1000</f>
        <v>141023.62998</v>
      </c>
      <c r="E39" s="13">
        <v>8788.2000000000007</v>
      </c>
      <c r="F39" s="13">
        <f t="shared" si="0"/>
        <v>6.2317215925064087</v>
      </c>
    </row>
    <row r="40" spans="1:6" ht="72" customHeight="1" x14ac:dyDescent="0.3">
      <c r="A40" s="7" t="s">
        <v>4</v>
      </c>
      <c r="B40" s="8">
        <v>10</v>
      </c>
      <c r="C40" s="8" t="s">
        <v>73</v>
      </c>
      <c r="D40" s="13">
        <f>42418000/1000</f>
        <v>42418</v>
      </c>
      <c r="E40" s="13">
        <v>0</v>
      </c>
      <c r="F40" s="13">
        <f t="shared" si="0"/>
        <v>0</v>
      </c>
    </row>
    <row r="41" spans="1:6" ht="99" customHeight="1" x14ac:dyDescent="0.3">
      <c r="A41" s="7" t="s">
        <v>5</v>
      </c>
      <c r="B41" s="8">
        <v>10</v>
      </c>
      <c r="C41" s="8" t="s">
        <v>74</v>
      </c>
      <c r="D41" s="13">
        <f>16060509.27/1000</f>
        <v>16060.509269999999</v>
      </c>
      <c r="E41" s="13">
        <f>11075581.71/1000</f>
        <v>11075.58171</v>
      </c>
      <c r="F41" s="13">
        <f t="shared" si="0"/>
        <v>68.961584740581515</v>
      </c>
    </row>
    <row r="42" spans="1:6" ht="72" customHeight="1" x14ac:dyDescent="0.3">
      <c r="A42" s="7" t="s">
        <v>6</v>
      </c>
      <c r="B42" s="8">
        <v>10</v>
      </c>
      <c r="C42" s="8" t="s">
        <v>75</v>
      </c>
      <c r="D42" s="13">
        <f>4268700.7/1000</f>
        <v>4268.7007000000003</v>
      </c>
      <c r="E42" s="13">
        <f>373466.77/1000</f>
        <v>373.46677</v>
      </c>
      <c r="F42" s="13">
        <f t="shared" si="0"/>
        <v>8.7489565618877894</v>
      </c>
    </row>
    <row r="43" spans="1:6" ht="72" customHeight="1" x14ac:dyDescent="0.3">
      <c r="A43" s="7" t="s">
        <v>76</v>
      </c>
      <c r="B43" s="8">
        <v>10</v>
      </c>
      <c r="C43" s="8" t="s">
        <v>77</v>
      </c>
      <c r="D43" s="13">
        <f>34448654.82/1000</f>
        <v>34448.654820000003</v>
      </c>
      <c r="E43" s="13">
        <f>2990024.54/1000</f>
        <v>2990.0245399999999</v>
      </c>
      <c r="F43" s="13">
        <f t="shared" si="0"/>
        <v>8.6796554339302343</v>
      </c>
    </row>
    <row r="44" spans="1:6" ht="58.5" customHeight="1" x14ac:dyDescent="0.3">
      <c r="A44" s="7" t="s">
        <v>78</v>
      </c>
      <c r="B44" s="8">
        <v>10</v>
      </c>
      <c r="C44" s="8" t="s">
        <v>79</v>
      </c>
      <c r="D44" s="13">
        <f>35240871.15/1000</f>
        <v>35240.871149999999</v>
      </c>
      <c r="E44" s="13">
        <f>11743777.66/1000</f>
        <v>11743.77766</v>
      </c>
      <c r="F44" s="13">
        <f t="shared" si="0"/>
        <v>33.324311450796813</v>
      </c>
    </row>
    <row r="45" spans="1:6" ht="46.5" customHeight="1" x14ac:dyDescent="0.3">
      <c r="A45" s="7" t="s">
        <v>80</v>
      </c>
      <c r="B45" s="8">
        <v>10</v>
      </c>
      <c r="C45" s="8" t="s">
        <v>81</v>
      </c>
      <c r="D45" s="13">
        <f>460966.89/1000</f>
        <v>460.96689000000003</v>
      </c>
      <c r="E45" s="13">
        <v>0</v>
      </c>
      <c r="F45" s="13">
        <f t="shared" si="0"/>
        <v>0</v>
      </c>
    </row>
    <row r="46" spans="1:6" ht="46.5" customHeight="1" x14ac:dyDescent="0.3">
      <c r="A46" s="7" t="s">
        <v>82</v>
      </c>
      <c r="B46" s="8">
        <v>10</v>
      </c>
      <c r="C46" s="8" t="s">
        <v>83</v>
      </c>
      <c r="D46" s="13">
        <f>2130933.6/1000</f>
        <v>2130.9336000000003</v>
      </c>
      <c r="E46" s="13">
        <f>2130933.6/1000</f>
        <v>2130.9336000000003</v>
      </c>
      <c r="F46" s="13">
        <f t="shared" si="0"/>
        <v>100</v>
      </c>
    </row>
    <row r="47" spans="1:6" ht="34.5" customHeight="1" x14ac:dyDescent="0.3">
      <c r="A47" s="7" t="s">
        <v>84</v>
      </c>
      <c r="B47" s="8">
        <v>10</v>
      </c>
      <c r="C47" s="8" t="s">
        <v>85</v>
      </c>
      <c r="D47" s="13">
        <f>2478600/1000</f>
        <v>2478.6</v>
      </c>
      <c r="E47" s="13">
        <v>0</v>
      </c>
      <c r="F47" s="13">
        <f t="shared" si="0"/>
        <v>0</v>
      </c>
    </row>
    <row r="48" spans="1:6" ht="39" customHeight="1" x14ac:dyDescent="0.3">
      <c r="A48" s="7" t="s">
        <v>86</v>
      </c>
      <c r="B48" s="8">
        <v>10</v>
      </c>
      <c r="C48" s="8" t="s">
        <v>87</v>
      </c>
      <c r="D48" s="13">
        <f>22340733.79/1000</f>
        <v>22340.733789999998</v>
      </c>
      <c r="E48" s="13">
        <v>0</v>
      </c>
      <c r="F48" s="13">
        <f t="shared" si="0"/>
        <v>0</v>
      </c>
    </row>
    <row r="49" spans="1:6" ht="42" customHeight="1" x14ac:dyDescent="0.3">
      <c r="A49" s="7" t="s">
        <v>88</v>
      </c>
      <c r="B49" s="8">
        <v>10</v>
      </c>
      <c r="C49" s="8" t="s">
        <v>89</v>
      </c>
      <c r="D49" s="13">
        <f>64291700/1000</f>
        <v>64291.7</v>
      </c>
      <c r="E49" s="13">
        <f>21719916.83/1000</f>
        <v>21719.916829999998</v>
      </c>
      <c r="F49" s="13">
        <f t="shared" si="0"/>
        <v>33.7833916819745</v>
      </c>
    </row>
    <row r="50" spans="1:6" s="3" customFormat="1" ht="42" customHeight="1" x14ac:dyDescent="0.3">
      <c r="A50" s="1" t="s">
        <v>90</v>
      </c>
      <c r="B50" s="2">
        <v>10</v>
      </c>
      <c r="C50" s="2" t="s">
        <v>91</v>
      </c>
      <c r="D50" s="12">
        <f>SUM(D51:D60)</f>
        <v>777402.41579999996</v>
      </c>
      <c r="E50" s="12">
        <f>SUM(E51:E60)</f>
        <v>297940.47448999999</v>
      </c>
      <c r="F50" s="12">
        <f t="shared" si="0"/>
        <v>38.325128457878407</v>
      </c>
    </row>
    <row r="51" spans="1:6" ht="42" customHeight="1" x14ac:dyDescent="0.3">
      <c r="A51" s="7" t="s">
        <v>92</v>
      </c>
      <c r="B51" s="8">
        <v>10</v>
      </c>
      <c r="C51" s="8" t="s">
        <v>93</v>
      </c>
      <c r="D51" s="13">
        <f>693037393/1000</f>
        <v>693037.39300000004</v>
      </c>
      <c r="E51" s="13">
        <f>272638719/1000</f>
        <v>272638.71899999998</v>
      </c>
      <c r="F51" s="13">
        <f t="shared" si="0"/>
        <v>39.339683796830855</v>
      </c>
    </row>
    <row r="52" spans="1:6" ht="72" customHeight="1" x14ac:dyDescent="0.3">
      <c r="A52" s="7" t="s">
        <v>94</v>
      </c>
      <c r="B52" s="8">
        <v>10</v>
      </c>
      <c r="C52" s="8" t="s">
        <v>95</v>
      </c>
      <c r="D52" s="13">
        <f>18631900/1000</f>
        <v>18631.900000000001</v>
      </c>
      <c r="E52" s="13">
        <f>7916665.02/1000</f>
        <v>7916.6650199999995</v>
      </c>
      <c r="F52" s="13">
        <f t="shared" si="0"/>
        <v>42.48984279649418</v>
      </c>
    </row>
    <row r="53" spans="1:6" ht="63" customHeight="1" x14ac:dyDescent="0.3">
      <c r="A53" s="7" t="s">
        <v>96</v>
      </c>
      <c r="B53" s="8">
        <v>10</v>
      </c>
      <c r="C53" s="8" t="s">
        <v>97</v>
      </c>
      <c r="D53" s="13">
        <f>21216000/1000</f>
        <v>21216</v>
      </c>
      <c r="E53" s="13">
        <v>0</v>
      </c>
      <c r="F53" s="13">
        <f t="shared" si="0"/>
        <v>0</v>
      </c>
    </row>
    <row r="54" spans="1:6" ht="42" customHeight="1" x14ac:dyDescent="0.3">
      <c r="A54" s="7" t="s">
        <v>98</v>
      </c>
      <c r="B54" s="8">
        <v>10</v>
      </c>
      <c r="C54" s="8" t="s">
        <v>99</v>
      </c>
      <c r="D54" s="13">
        <f>1173400/1000</f>
        <v>1173.4000000000001</v>
      </c>
      <c r="E54" s="13">
        <f>353665.72/1000</f>
        <v>353.66571999999996</v>
      </c>
      <c r="F54" s="13">
        <f t="shared" si="0"/>
        <v>30.140252258394401</v>
      </c>
    </row>
    <row r="55" spans="1:6" ht="42" customHeight="1" x14ac:dyDescent="0.3">
      <c r="A55" s="7" t="s">
        <v>100</v>
      </c>
      <c r="B55" s="8">
        <v>10</v>
      </c>
      <c r="C55" s="8" t="s">
        <v>101</v>
      </c>
      <c r="D55" s="13">
        <f>37600/1000</f>
        <v>37.6</v>
      </c>
      <c r="E55" s="13">
        <v>0</v>
      </c>
      <c r="F55" s="13">
        <f t="shared" si="0"/>
        <v>0</v>
      </c>
    </row>
    <row r="56" spans="1:6" ht="63" customHeight="1" x14ac:dyDescent="0.3">
      <c r="A56" s="7" t="s">
        <v>102</v>
      </c>
      <c r="B56" s="8">
        <v>10</v>
      </c>
      <c r="C56" s="8" t="s">
        <v>103</v>
      </c>
      <c r="D56" s="13">
        <f>932706/1000</f>
        <v>932.70600000000002</v>
      </c>
      <c r="E56" s="13">
        <v>0</v>
      </c>
      <c r="F56" s="13">
        <f t="shared" si="0"/>
        <v>0</v>
      </c>
    </row>
    <row r="57" spans="1:6" ht="66" customHeight="1" x14ac:dyDescent="0.3">
      <c r="A57" s="7" t="s">
        <v>104</v>
      </c>
      <c r="B57" s="8">
        <v>10</v>
      </c>
      <c r="C57" s="8" t="s">
        <v>105</v>
      </c>
      <c r="D57" s="13">
        <f>1865412/1000</f>
        <v>1865.412</v>
      </c>
      <c r="E57" s="13">
        <v>0</v>
      </c>
      <c r="F57" s="13">
        <f t="shared" si="0"/>
        <v>0</v>
      </c>
    </row>
    <row r="58" spans="1:6" ht="61.5" customHeight="1" x14ac:dyDescent="0.3">
      <c r="A58" s="7" t="s">
        <v>106</v>
      </c>
      <c r="B58" s="8">
        <v>10</v>
      </c>
      <c r="C58" s="8" t="s">
        <v>107</v>
      </c>
      <c r="D58" s="13">
        <f>28198600/1000</f>
        <v>28198.6</v>
      </c>
      <c r="E58" s="13">
        <f>11749446/1000</f>
        <v>11749.446</v>
      </c>
      <c r="F58" s="13">
        <f t="shared" si="0"/>
        <v>41.666770690743512</v>
      </c>
    </row>
    <row r="59" spans="1:6" ht="48" customHeight="1" x14ac:dyDescent="0.3">
      <c r="A59" s="7" t="s">
        <v>108</v>
      </c>
      <c r="B59" s="8">
        <v>10</v>
      </c>
      <c r="C59" s="8" t="s">
        <v>109</v>
      </c>
      <c r="D59" s="13">
        <f>5099266/1000</f>
        <v>5099.2659999999996</v>
      </c>
      <c r="E59" s="13">
        <f>1778215/1000</f>
        <v>1778.2149999999999</v>
      </c>
      <c r="F59" s="13">
        <f t="shared" si="0"/>
        <v>34.871979614320963</v>
      </c>
    </row>
    <row r="60" spans="1:6" ht="48" customHeight="1" x14ac:dyDescent="0.3">
      <c r="A60" s="7" t="s">
        <v>110</v>
      </c>
      <c r="B60" s="8">
        <v>10</v>
      </c>
      <c r="C60" s="8" t="s">
        <v>111</v>
      </c>
      <c r="D60" s="13">
        <f>7210138.8/1000</f>
        <v>7210.1387999999997</v>
      </c>
      <c r="E60" s="13">
        <f>3503763.75/1000</f>
        <v>3503.7637500000001</v>
      </c>
      <c r="F60" s="13">
        <f t="shared" si="0"/>
        <v>48.594955619994444</v>
      </c>
    </row>
    <row r="61" spans="1:6" s="3" customFormat="1" ht="42" customHeight="1" x14ac:dyDescent="0.3">
      <c r="A61" s="1" t="s">
        <v>136</v>
      </c>
      <c r="B61" s="2">
        <v>10</v>
      </c>
      <c r="C61" s="2" t="s">
        <v>112</v>
      </c>
      <c r="D61" s="12">
        <f>D62</f>
        <v>12125.583369999998</v>
      </c>
      <c r="E61" s="12">
        <f>E62</f>
        <v>9778.1027699999995</v>
      </c>
      <c r="F61" s="12">
        <f t="shared" si="0"/>
        <v>80.640266712380054</v>
      </c>
    </row>
    <row r="62" spans="1:6" ht="36" customHeight="1" x14ac:dyDescent="0.3">
      <c r="A62" s="7" t="s">
        <v>113</v>
      </c>
      <c r="B62" s="8">
        <v>10</v>
      </c>
      <c r="C62" s="8" t="s">
        <v>114</v>
      </c>
      <c r="D62" s="13">
        <f>12125583.37/1000</f>
        <v>12125.583369999998</v>
      </c>
      <c r="E62" s="13">
        <f>9778102.77/1000</f>
        <v>9778.1027699999995</v>
      </c>
      <c r="F62" s="13">
        <f t="shared" si="0"/>
        <v>80.640266712380054</v>
      </c>
    </row>
    <row r="63" spans="1:6" s="3" customFormat="1" ht="52.5" customHeight="1" x14ac:dyDescent="0.3">
      <c r="A63" s="1" t="s">
        <v>115</v>
      </c>
      <c r="B63" s="2">
        <v>10</v>
      </c>
      <c r="C63" s="2" t="s">
        <v>116</v>
      </c>
      <c r="D63" s="12">
        <f>D64</f>
        <v>0</v>
      </c>
      <c r="E63" s="12">
        <f>E64</f>
        <v>0.23200000000000001</v>
      </c>
      <c r="F63" s="12">
        <v>0</v>
      </c>
    </row>
    <row r="64" spans="1:6" ht="52.5" customHeight="1" x14ac:dyDescent="0.3">
      <c r="A64" s="7" t="s">
        <v>117</v>
      </c>
      <c r="B64" s="8">
        <v>10</v>
      </c>
      <c r="C64" s="8" t="s">
        <v>118</v>
      </c>
      <c r="D64" s="13">
        <v>0</v>
      </c>
      <c r="E64" s="13">
        <f>232/1000</f>
        <v>0.23200000000000001</v>
      </c>
      <c r="F64" s="13">
        <v>0</v>
      </c>
    </row>
    <row r="65" spans="1:6" s="3" customFormat="1" ht="64.5" customHeight="1" x14ac:dyDescent="0.3">
      <c r="A65" s="1" t="s">
        <v>141</v>
      </c>
      <c r="B65" s="2">
        <v>10</v>
      </c>
      <c r="C65" s="2" t="s">
        <v>142</v>
      </c>
      <c r="D65" s="12">
        <v>0</v>
      </c>
      <c r="E65" s="12">
        <f>4779331.63/1000</f>
        <v>4779.3316299999997</v>
      </c>
      <c r="F65" s="12">
        <v>0</v>
      </c>
    </row>
    <row r="66" spans="1:6" s="3" customFormat="1" ht="54" customHeight="1" x14ac:dyDescent="0.3">
      <c r="A66" s="1" t="s">
        <v>119</v>
      </c>
      <c r="B66" s="2">
        <v>10</v>
      </c>
      <c r="C66" s="2" t="s">
        <v>120</v>
      </c>
      <c r="D66" s="12">
        <f>D67+D68+D69+D70</f>
        <v>-5561.4779200000003</v>
      </c>
      <c r="E66" s="12">
        <f>E67+E68+E69+E70</f>
        <v>-5561.4779200000003</v>
      </c>
      <c r="F66" s="12">
        <f t="shared" si="0"/>
        <v>100</v>
      </c>
    </row>
    <row r="67" spans="1:6" ht="61.5" customHeight="1" x14ac:dyDescent="0.3">
      <c r="A67" s="7" t="s">
        <v>121</v>
      </c>
      <c r="B67" s="8">
        <v>10</v>
      </c>
      <c r="C67" s="8" t="s">
        <v>122</v>
      </c>
      <c r="D67" s="13">
        <f>-0.01/1000</f>
        <v>-1.0000000000000001E-5</v>
      </c>
      <c r="E67" s="13">
        <f>-0.01/1000</f>
        <v>-1.0000000000000001E-5</v>
      </c>
      <c r="F67" s="13">
        <f t="shared" si="0"/>
        <v>100</v>
      </c>
    </row>
    <row r="68" spans="1:6" ht="61.5" customHeight="1" x14ac:dyDescent="0.3">
      <c r="A68" s="7" t="s">
        <v>123</v>
      </c>
      <c r="B68" s="8">
        <v>10</v>
      </c>
      <c r="C68" s="8" t="s">
        <v>124</v>
      </c>
      <c r="D68" s="13">
        <f>-778807.03/1000</f>
        <v>-778.80703000000005</v>
      </c>
      <c r="E68" s="13">
        <f>-778807.03/1000</f>
        <v>-778.80703000000005</v>
      </c>
      <c r="F68" s="13">
        <f t="shared" si="0"/>
        <v>100</v>
      </c>
    </row>
    <row r="69" spans="1:6" ht="61.5" customHeight="1" x14ac:dyDescent="0.3">
      <c r="A69" s="7" t="s">
        <v>125</v>
      </c>
      <c r="B69" s="8">
        <v>10</v>
      </c>
      <c r="C69" s="8" t="s">
        <v>126</v>
      </c>
      <c r="D69" s="13">
        <f>-2844474.53/1000</f>
        <v>-2844.47453</v>
      </c>
      <c r="E69" s="13">
        <f>-2844474.33/1000</f>
        <v>-2844.47433</v>
      </c>
      <c r="F69" s="13">
        <f t="shared" si="0"/>
        <v>99.999992968824358</v>
      </c>
    </row>
    <row r="70" spans="1:6" ht="54" customHeight="1" x14ac:dyDescent="0.3">
      <c r="A70" s="7" t="s">
        <v>127</v>
      </c>
      <c r="B70" s="8">
        <v>10</v>
      </c>
      <c r="C70" s="8" t="s">
        <v>128</v>
      </c>
      <c r="D70" s="13">
        <f>-1938196.35/1000</f>
        <v>-1938.1963500000002</v>
      </c>
      <c r="E70" s="13">
        <f>-1938196.55/1000</f>
        <v>-1938.1965500000001</v>
      </c>
      <c r="F70" s="13">
        <f t="shared" ref="F70" si="2">E70/D70%</f>
        <v>100.00001031887197</v>
      </c>
    </row>
    <row r="74" spans="1:6" x14ac:dyDescent="0.3">
      <c r="A74" s="11" t="s">
        <v>137</v>
      </c>
      <c r="C74" s="11" t="s">
        <v>138</v>
      </c>
    </row>
  </sheetData>
  <autoFilter ref="A3:F70" xr:uid="{81BFFBEE-EBF0-49CC-810A-C4282529525C}"/>
  <mergeCells count="2">
    <mergeCell ref="A1:F1"/>
    <mergeCell ref="A2:D2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2021-04-12T07:44:41Z</dcterms:created>
  <dcterms:modified xsi:type="dcterms:W3CDTF">2021-06-17T11:21:43Z</dcterms:modified>
</cp:coreProperties>
</file>